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dney.yu\Documents\"/>
    </mc:Choice>
  </mc:AlternateContent>
  <xr:revisionPtr revIDLastSave="0" documentId="13_ncr:1_{2E0D66F2-3FFE-4DBA-8DEE-E7F58ACADD48}" xr6:coauthVersionLast="47" xr6:coauthVersionMax="47" xr10:uidLastSave="{00000000-0000-0000-0000-000000000000}"/>
  <workbookProtection workbookAlgorithmName="SHA-512" workbookHashValue="nCYV/jhg0arE7uNPYfao+kMpvqKK7wM1/IcBmONehQ4cSSM3Oon+ptv6QoMhef1nL/F7+9nfpXxmO9VuJ3KLeg==" workbookSaltValue="siudqQKVTQGTnF0zcPZvVw==" workbookSpinCount="100000" lockStructure="1"/>
  <bookViews>
    <workbookView xWindow="-110" yWindow="-110" windowWidth="19420" windowHeight="10420" xr2:uid="{6D24F5FE-A498-413B-8BD1-65DB4347B5AD}"/>
  </bookViews>
  <sheets>
    <sheet name="Sheet1" sheetId="1" r:id="rId1"/>
    <sheet name="Sheet 2" sheetId="3" state="hidden" r:id="rId2"/>
    <sheet name="Sheet3" sheetId="4" state="hidden" r:id="rId3"/>
    <sheet name="Equations " sheetId="2" r:id="rId4"/>
    <sheet name="Disclaimer" sheetId="6" r:id="rId5"/>
    <sheet name="About the author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1" i="1"/>
  <c r="E14" i="1"/>
  <c r="B13" i="4"/>
  <c r="C18" i="4"/>
  <c r="B7" i="4"/>
  <c r="E7" i="4" s="1"/>
  <c r="B5" i="4"/>
  <c r="H5" i="4" s="1"/>
  <c r="B3" i="4"/>
  <c r="J3" i="4" s="1"/>
  <c r="C37" i="4"/>
  <c r="D37" i="4" s="1"/>
  <c r="C36" i="4"/>
  <c r="D36" i="4" s="1"/>
  <c r="C35" i="4"/>
  <c r="D35" i="4" s="1"/>
  <c r="E35" i="4" s="1"/>
  <c r="C34" i="4"/>
  <c r="D34" i="4" s="1"/>
  <c r="E34" i="4" s="1"/>
  <c r="C33" i="4"/>
  <c r="D33" i="4" s="1"/>
  <c r="C32" i="4"/>
  <c r="D32" i="4" s="1"/>
  <c r="E32" i="4" s="1"/>
  <c r="C31" i="4"/>
  <c r="D31" i="4" s="1"/>
  <c r="E31" i="4" s="1"/>
  <c r="C30" i="4"/>
  <c r="D30" i="4" s="1"/>
  <c r="E30" i="4" s="1"/>
  <c r="E20" i="1"/>
  <c r="H16" i="1"/>
  <c r="F16" i="1"/>
  <c r="F12" i="1"/>
  <c r="G12" i="1"/>
  <c r="D12" i="1"/>
  <c r="C12" i="1"/>
  <c r="D13" i="4" l="1"/>
  <c r="C13" i="4"/>
  <c r="E5" i="4"/>
  <c r="H3" i="4"/>
  <c r="E33" i="4"/>
  <c r="F33" i="4" s="1"/>
  <c r="G33" i="4" s="1"/>
  <c r="E36" i="4"/>
  <c r="F36" i="4" s="1"/>
  <c r="G36" i="4" s="1"/>
  <c r="F32" i="4"/>
  <c r="G32" i="4" s="1"/>
  <c r="E3" i="4" s="1"/>
  <c r="F35" i="4"/>
  <c r="G35" i="4" s="1"/>
  <c r="E37" i="4"/>
  <c r="F37" i="4" s="1"/>
  <c r="G37" i="4" s="1"/>
  <c r="F34" i="4"/>
  <c r="G34" i="4" s="1"/>
  <c r="F31" i="4"/>
  <c r="G31" i="4" s="1"/>
  <c r="F30" i="4"/>
  <c r="G30" i="4" s="1"/>
  <c r="B14" i="4" l="1"/>
  <c r="B16" i="4" s="1"/>
  <c r="B17" i="4" s="1"/>
  <c r="D11" i="4"/>
  <c r="B9" i="4"/>
  <c r="D9" i="4" s="1"/>
  <c r="D14" i="1" s="1"/>
  <c r="D16" i="1" s="1"/>
  <c r="B23" i="4" l="1"/>
  <c r="B24" i="4" s="1"/>
  <c r="B26" i="4" l="1"/>
  <c r="E27" i="4" s="1"/>
  <c r="G20" i="1" s="1"/>
  <c r="D18" i="1" l="1"/>
  <c r="D21" i="1" s="1"/>
  <c r="D27" i="4"/>
  <c r="D20" i="1" s="1"/>
</calcChain>
</file>

<file path=xl/sharedStrings.xml><?xml version="1.0" encoding="utf-8"?>
<sst xmlns="http://schemas.openxmlformats.org/spreadsheetml/2006/main" count="141" uniqueCount="93">
  <si>
    <t>radioisotope  list</t>
  </si>
  <si>
    <t>H-3</t>
  </si>
  <si>
    <t>isotope</t>
  </si>
  <si>
    <t>Ni-63</t>
  </si>
  <si>
    <t>C-14</t>
  </si>
  <si>
    <t>S-35</t>
  </si>
  <si>
    <t>Pm-147</t>
  </si>
  <si>
    <t>Ca-45</t>
  </si>
  <si>
    <t>P-32</t>
  </si>
  <si>
    <t>Y-90</t>
  </si>
  <si>
    <t>shielding material list</t>
  </si>
  <si>
    <t>material</t>
  </si>
  <si>
    <t>Aluminium</t>
  </si>
  <si>
    <t>Glass(soda-lime)</t>
  </si>
  <si>
    <t>beta E max (MeV)</t>
  </si>
  <si>
    <t>density (g/cm3)</t>
  </si>
  <si>
    <t>effective atomic  number</t>
  </si>
  <si>
    <t>mass adsorption coefficient ( cm2/g)</t>
  </si>
  <si>
    <t>water</t>
  </si>
  <si>
    <t>LnEmax</t>
  </si>
  <si>
    <t>1.265-0.0954*LnEmax</t>
  </si>
  <si>
    <t>g/cm2</t>
  </si>
  <si>
    <t xml:space="preserve">selected isotope = </t>
  </si>
  <si>
    <t>density range g/cm2=</t>
  </si>
  <si>
    <t>selected shielding =</t>
  </si>
  <si>
    <t>density =</t>
  </si>
  <si>
    <t>Linear Range  =</t>
  </si>
  <si>
    <t>cm</t>
  </si>
  <si>
    <t>mm</t>
  </si>
  <si>
    <t>radioactivity =</t>
  </si>
  <si>
    <t>MBq</t>
  </si>
  <si>
    <t>MeV</t>
  </si>
  <si>
    <t>1 MeV =</t>
  </si>
  <si>
    <t>Joule</t>
  </si>
  <si>
    <t xml:space="preserve">dps </t>
  </si>
  <si>
    <t>MeV/hr =</t>
  </si>
  <si>
    <t>Joule/hr =</t>
  </si>
  <si>
    <t>J/hr</t>
  </si>
  <si>
    <t>Emax =</t>
  </si>
  <si>
    <t>mass adsorpt Coeff=</t>
  </si>
  <si>
    <t>Fraction of Energy transformed to Bremsstrahlung =</t>
  </si>
  <si>
    <t>activity unit list</t>
  </si>
  <si>
    <t>GBq</t>
  </si>
  <si>
    <t>KBq</t>
  </si>
  <si>
    <t>Ci</t>
  </si>
  <si>
    <t>mCi</t>
  </si>
  <si>
    <t>μCi</t>
  </si>
  <si>
    <t>d/s factor</t>
  </si>
  <si>
    <t>select unit</t>
  </si>
  <si>
    <t xml:space="preserve">selected radioactivity unit </t>
  </si>
  <si>
    <t>d/s=</t>
  </si>
  <si>
    <t>average beta energy =</t>
  </si>
  <si>
    <t>Bresstrahlung =</t>
  </si>
  <si>
    <t>J/hr * fraction transferred to Bremstrahlung*mass absorption coefficient</t>
  </si>
  <si>
    <r>
      <t xml:space="preserve">4 </t>
    </r>
    <r>
      <rPr>
        <sz val="11"/>
        <color theme="1"/>
        <rFont val="Calibri"/>
        <family val="2"/>
      </rPr>
      <t>π distance ^2</t>
    </r>
  </si>
  <si>
    <t>Sv/hr</t>
  </si>
  <si>
    <t>=</t>
  </si>
  <si>
    <t>µSv/hr</t>
  </si>
  <si>
    <t>conversion factor from cm2/gm to m2/kg   =</t>
  </si>
  <si>
    <t xml:space="preserve">Plastic </t>
  </si>
  <si>
    <t>particles</t>
  </si>
  <si>
    <t xml:space="preserve">some of the </t>
  </si>
  <si>
    <t xml:space="preserve"> to stop all</t>
  </si>
  <si>
    <t xml:space="preserve">  Maximum range  =</t>
  </si>
  <si>
    <t xml:space="preserve">  Bremsstrahlung radiation exposure  =</t>
  </si>
  <si>
    <t xml:space="preserve">  it may require a minimum of </t>
  </si>
  <si>
    <t xml:space="preserve">energy transformed to </t>
  </si>
  <si>
    <t xml:space="preserve">  Bremsstrahlung radiation, resulting in </t>
  </si>
  <si>
    <t>radioisotope</t>
  </si>
  <si>
    <t>shielding material</t>
  </si>
  <si>
    <t>radioactivity</t>
  </si>
  <si>
    <r>
      <t>( 4</t>
    </r>
    <r>
      <rPr>
        <b/>
        <sz val="11"/>
        <color rgb="FFFF0000"/>
        <rFont val="Calibri"/>
        <family val="2"/>
      </rPr>
      <t>π geometry and at 1 m )</t>
    </r>
  </si>
  <si>
    <t>Emax</t>
  </si>
  <si>
    <t>Acrylic (Lucite /plexiglass)</t>
  </si>
  <si>
    <t>Emax ^ column"D"</t>
  </si>
  <si>
    <t>412*column"G"</t>
  </si>
  <si>
    <t>Data/Constants/Parameters</t>
  </si>
  <si>
    <t>Calculations</t>
  </si>
  <si>
    <t xml:space="preserve">Eff atom # </t>
  </si>
  <si>
    <t>Bresstrahlung at 1 meter  =</t>
  </si>
  <si>
    <t>Results :</t>
  </si>
  <si>
    <t>Select shielding material :</t>
  </si>
  <si>
    <t>Enter radioactivity:</t>
  </si>
  <si>
    <t>sheet 1 cell D20 =</t>
  </si>
  <si>
    <t>sheet 1 cell G20</t>
  </si>
  <si>
    <t xml:space="preserve">final Results after screen out </t>
  </si>
  <si>
    <t xml:space="preserve"> H-3,C-14, Ni-63 =</t>
  </si>
  <si>
    <t xml:space="preserve"> // ** this is not the final result, scroll down</t>
  </si>
  <si>
    <t xml:space="preserve">              Beta particles range and Bremsstrahlung radiation exposure calculator (empirical model) </t>
  </si>
  <si>
    <t>Select radionuclide :</t>
  </si>
  <si>
    <t xml:space="preserve">  While beta particles are fully stopped,     at </t>
  </si>
  <si>
    <t>external exposure</t>
  </si>
  <si>
    <t>https://sidneyisotopecalc.com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</si>
</sst>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"/>
    <numFmt numFmtId="167" formatCode="0.000E+00"/>
    <numFmt numFmtId="168" formatCode="0.00000"/>
  </numFmts>
  <fonts count="19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4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1" fontId="0" fillId="0" borderId="0" xfId="0" applyNumberFormat="1"/>
    <xf numFmtId="0" fontId="5" fillId="0" borderId="0" xfId="0" applyFont="1"/>
    <xf numFmtId="0" fontId="6" fillId="0" borderId="0" xfId="0" applyFont="1"/>
    <xf numFmtId="166" fontId="0" fillId="0" borderId="0" xfId="0" applyNumberFormat="1"/>
    <xf numFmtId="168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166" fontId="4" fillId="0" borderId="0" xfId="0" applyNumberFormat="1" applyFont="1"/>
    <xf numFmtId="2" fontId="4" fillId="0" borderId="0" xfId="0" applyNumberFormat="1" applyFont="1"/>
    <xf numFmtId="0" fontId="4" fillId="3" borderId="2" xfId="0" applyFont="1" applyFill="1" applyBorder="1" applyAlignment="1">
      <alignment horizontal="center"/>
    </xf>
    <xf numFmtId="168" fontId="4" fillId="3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 applyAlignment="1">
      <alignment horizontal="center"/>
    </xf>
    <xf numFmtId="11" fontId="4" fillId="3" borderId="6" xfId="0" applyNumberFormat="1" applyFont="1" applyFill="1" applyBorder="1"/>
    <xf numFmtId="0" fontId="4" fillId="3" borderId="7" xfId="0" applyFont="1" applyFill="1" applyBorder="1"/>
    <xf numFmtId="0" fontId="4" fillId="3" borderId="10" xfId="0" applyFont="1" applyFill="1" applyBorder="1" applyAlignment="1">
      <alignment horizontal="center"/>
    </xf>
    <xf numFmtId="11" fontId="4" fillId="3" borderId="11" xfId="0" applyNumberFormat="1" applyFont="1" applyFill="1" applyBorder="1"/>
    <xf numFmtId="0" fontId="4" fillId="3" borderId="7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4" fillId="3" borderId="10" xfId="0" applyFont="1" applyFill="1" applyBorder="1"/>
    <xf numFmtId="0" fontId="4" fillId="3" borderId="5" xfId="0" applyFont="1" applyFill="1" applyBorder="1"/>
    <xf numFmtId="0" fontId="0" fillId="3" borderId="11" xfId="0" applyFill="1" applyBorder="1"/>
    <xf numFmtId="0" fontId="0" fillId="3" borderId="12" xfId="0" applyFill="1" applyBorder="1"/>
    <xf numFmtId="165" fontId="4" fillId="3" borderId="13" xfId="0" applyNumberFormat="1" applyFont="1" applyFill="1" applyBorder="1" applyAlignment="1">
      <alignment horizontal="right"/>
    </xf>
    <xf numFmtId="0" fontId="15" fillId="3" borderId="14" xfId="0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0" fillId="0" borderId="0" xfId="0" applyProtection="1">
      <protection hidden="1"/>
    </xf>
    <xf numFmtId="0" fontId="14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166" fontId="4" fillId="0" borderId="0" xfId="0" applyNumberFormat="1" applyFont="1" applyProtection="1">
      <protection hidden="1"/>
    </xf>
    <xf numFmtId="2" fontId="4" fillId="0" borderId="0" xfId="0" applyNumberFormat="1" applyFont="1" applyProtection="1">
      <protection hidden="1"/>
    </xf>
    <xf numFmtId="0" fontId="14" fillId="0" borderId="0" xfId="0" applyFont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0" fillId="4" borderId="5" xfId="0" applyFill="1" applyBorder="1" applyProtection="1">
      <protection hidden="1"/>
    </xf>
    <xf numFmtId="0" fontId="4" fillId="4" borderId="6" xfId="0" applyFont="1" applyFill="1" applyBorder="1" applyProtection="1">
      <protection hidden="1"/>
    </xf>
    <xf numFmtId="0" fontId="4" fillId="4" borderId="6" xfId="0" applyFont="1" applyFill="1" applyBorder="1" applyAlignment="1" applyProtection="1">
      <alignment horizontal="center"/>
      <protection hidden="1"/>
    </xf>
    <xf numFmtId="0" fontId="0" fillId="4" borderId="6" xfId="0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4" borderId="9" xfId="0" applyFill="1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/>
      <protection hidden="1"/>
    </xf>
    <xf numFmtId="166" fontId="0" fillId="0" borderId="0" xfId="0" applyNumberFormat="1" applyAlignment="1" applyProtection="1">
      <alignment horizontal="center"/>
      <protection hidden="1"/>
    </xf>
    <xf numFmtId="165" fontId="0" fillId="0" borderId="0" xfId="0" applyNumberFormat="1" applyProtection="1">
      <protection hidden="1"/>
    </xf>
    <xf numFmtId="0" fontId="4" fillId="4" borderId="8" xfId="0" applyFont="1" applyFill="1" applyBorder="1" applyAlignment="1" applyProtection="1">
      <alignment horizontal="left"/>
      <protection hidden="1"/>
    </xf>
    <xf numFmtId="0" fontId="4" fillId="4" borderId="9" xfId="0" applyFont="1" applyFill="1" applyBorder="1" applyProtection="1">
      <protection hidden="1"/>
    </xf>
    <xf numFmtId="0" fontId="4" fillId="4" borderId="8" xfId="0" applyFont="1" applyFill="1" applyBorder="1" applyProtection="1">
      <protection hidden="1"/>
    </xf>
    <xf numFmtId="0" fontId="4" fillId="4" borderId="9" xfId="0" applyFont="1" applyFill="1" applyBorder="1" applyAlignment="1" applyProtection="1">
      <alignment horizontal="center"/>
      <protection hidden="1"/>
    </xf>
    <xf numFmtId="0" fontId="4" fillId="4" borderId="10" xfId="0" applyFont="1" applyFill="1" applyBorder="1" applyProtection="1">
      <protection hidden="1"/>
    </xf>
    <xf numFmtId="0" fontId="4" fillId="4" borderId="11" xfId="0" applyFont="1" applyFill="1" applyBorder="1" applyProtection="1">
      <protection hidden="1"/>
    </xf>
    <xf numFmtId="0" fontId="4" fillId="4" borderId="12" xfId="0" applyFont="1" applyFill="1" applyBorder="1" applyProtection="1">
      <protection hidden="1"/>
    </xf>
    <xf numFmtId="0" fontId="12" fillId="0" borderId="0" xfId="0" applyFont="1" applyProtection="1">
      <protection hidden="1"/>
    </xf>
    <xf numFmtId="0" fontId="4" fillId="0" borderId="0" xfId="0" applyFont="1" applyAlignment="1" applyProtection="1">
      <alignment horizontal="left" vertical="top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1" fontId="0" fillId="0" borderId="0" xfId="0" applyNumberFormat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11" fontId="0" fillId="0" borderId="0" xfId="0" applyNumberFormat="1" applyProtection="1">
      <protection hidden="1"/>
    </xf>
    <xf numFmtId="0" fontId="6" fillId="0" borderId="0" xfId="0" applyFont="1" applyProtection="1">
      <protection hidden="1"/>
    </xf>
    <xf numFmtId="0" fontId="3" fillId="2" borderId="1" xfId="0" applyFont="1" applyFill="1" applyBorder="1" applyAlignment="1" applyProtection="1">
      <alignment horizontal="center"/>
      <protection locked="0" hidden="1"/>
    </xf>
    <xf numFmtId="0" fontId="4" fillId="5" borderId="0" xfId="0" applyFont="1" applyFill="1" applyAlignment="1" applyProtection="1">
      <alignment horizontal="center"/>
      <protection locked="0"/>
    </xf>
    <xf numFmtId="0" fontId="18" fillId="0" borderId="0" xfId="1" applyFont="1" applyProtection="1">
      <protection hidden="1"/>
    </xf>
    <xf numFmtId="0" fontId="16" fillId="0" borderId="0" xfId="1" applyAlignment="1">
      <alignment horizontal="left"/>
    </xf>
    <xf numFmtId="0" fontId="0" fillId="2" borderId="1" xfId="0" applyFill="1" applyBorder="1" applyAlignment="1" applyProtection="1">
      <alignment horizontal="center"/>
      <protection locked="0" hidden="1"/>
    </xf>
    <xf numFmtId="0" fontId="7" fillId="4" borderId="0" xfId="0" applyFont="1" applyFill="1" applyAlignment="1" applyProtection="1">
      <alignment horizontal="left"/>
      <protection hidden="1"/>
    </xf>
    <xf numFmtId="0" fontId="7" fillId="4" borderId="0" xfId="0" applyFont="1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4" fillId="4" borderId="0" xfId="0" applyFont="1" applyFill="1" applyProtection="1">
      <protection hidden="1"/>
    </xf>
    <xf numFmtId="168" fontId="8" fillId="4" borderId="0" xfId="0" applyNumberFormat="1" applyFont="1" applyFill="1" applyAlignment="1" applyProtection="1">
      <alignment horizontal="center"/>
      <protection hidden="1"/>
    </xf>
    <xf numFmtId="0" fontId="4" fillId="4" borderId="0" xfId="0" applyFont="1" applyFill="1" applyAlignment="1" applyProtection="1">
      <alignment horizontal="center"/>
      <protection hidden="1"/>
    </xf>
    <xf numFmtId="2" fontId="4" fillId="4" borderId="0" xfId="0" applyNumberFormat="1" applyFont="1" applyFill="1" applyProtection="1">
      <protection hidden="1"/>
    </xf>
    <xf numFmtId="2" fontId="8" fillId="4" borderId="0" xfId="0" applyNumberFormat="1" applyFont="1" applyFill="1" applyAlignment="1" applyProtection="1">
      <alignment horizontal="center"/>
      <protection hidden="1"/>
    </xf>
    <xf numFmtId="0" fontId="10" fillId="4" borderId="0" xfId="0" applyFont="1" applyFill="1" applyProtection="1">
      <protection hidden="1"/>
    </xf>
    <xf numFmtId="0" fontId="16" fillId="0" borderId="0" xfId="1" applyAlignment="1" applyProtection="1">
      <protection locked="0"/>
    </xf>
    <xf numFmtId="0" fontId="0" fillId="0" borderId="0" xfId="0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901701</xdr:colOff>
      <xdr:row>1</xdr:row>
      <xdr:rowOff>47732</xdr:rowOff>
    </xdr:from>
    <xdr:to>
      <xdr:col>8</xdr:col>
      <xdr:colOff>438151</xdr:colOff>
      <xdr:row>2</xdr:row>
      <xdr:rowOff>74390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9D493AD-21DD-BB76-F26B-14CA4666D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8501" y="231882"/>
          <a:ext cx="1320800" cy="261608"/>
        </a:xfrm>
        <a:prstGeom prst="rect">
          <a:avLst/>
        </a:prstGeom>
      </xdr:spPr>
    </xdr:pic>
    <xdr:clientData/>
  </xdr:twoCellAnchor>
  <xdr:twoCellAnchor editAs="oneCell">
    <xdr:from>
      <xdr:col>6</xdr:col>
      <xdr:colOff>901701</xdr:colOff>
      <xdr:row>2</xdr:row>
      <xdr:rowOff>15688</xdr:rowOff>
    </xdr:from>
    <xdr:to>
      <xdr:col>10</xdr:col>
      <xdr:colOff>801597</xdr:colOff>
      <xdr:row>4</xdr:row>
      <xdr:rowOff>25400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BA45698-1B1D-D6CD-0EAA-F4418E9E4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18501" y="434788"/>
          <a:ext cx="3227296" cy="403412"/>
        </a:xfrm>
        <a:prstGeom prst="rect">
          <a:avLst/>
        </a:prstGeom>
      </xdr:spPr>
    </xdr:pic>
    <xdr:clientData/>
  </xdr:twoCellAnchor>
  <xdr:twoCellAnchor editAs="oneCell">
    <xdr:from>
      <xdr:col>2</xdr:col>
      <xdr:colOff>1320799</xdr:colOff>
      <xdr:row>8</xdr:row>
      <xdr:rowOff>181695</xdr:rowOff>
    </xdr:from>
    <xdr:to>
      <xdr:col>9</xdr:col>
      <xdr:colOff>139700</xdr:colOff>
      <xdr:row>10</xdr:row>
      <xdr:rowOff>42714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713E0B9-6FB0-A97A-AAD0-8298E43CD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9999" y="1781895"/>
          <a:ext cx="7556501" cy="286469"/>
        </a:xfrm>
        <a:prstGeom prst="rect">
          <a:avLst/>
        </a:prstGeom>
      </xdr:spPr>
    </xdr:pic>
    <xdr:clientData/>
  </xdr:twoCellAnchor>
  <xdr:twoCellAnchor editAs="oneCell">
    <xdr:from>
      <xdr:col>0</xdr:col>
      <xdr:colOff>527050</xdr:colOff>
      <xdr:row>22</xdr:row>
      <xdr:rowOff>25321</xdr:rowOff>
    </xdr:from>
    <xdr:to>
      <xdr:col>9</xdr:col>
      <xdr:colOff>241300</xdr:colOff>
      <xdr:row>23</xdr:row>
      <xdr:rowOff>144315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485B8DD-FCB8-5928-ADE5-789CA62C2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7050" y="4305221"/>
          <a:ext cx="9671050" cy="3031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31750</xdr:rowOff>
    </xdr:from>
    <xdr:to>
      <xdr:col>7</xdr:col>
      <xdr:colOff>273050</xdr:colOff>
      <xdr:row>17</xdr:row>
      <xdr:rowOff>85548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C4C954-DCB7-6BBC-D031-223EA5060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215900"/>
          <a:ext cx="4216400" cy="3000198"/>
        </a:xfrm>
        <a:prstGeom prst="rect">
          <a:avLst/>
        </a:prstGeom>
      </xdr:spPr>
    </xdr:pic>
    <xdr:clientData/>
  </xdr:twoCellAnchor>
  <xdr:twoCellAnchor editAs="oneCell">
    <xdr:from>
      <xdr:col>8</xdr:col>
      <xdr:colOff>590551</xdr:colOff>
      <xdr:row>0</xdr:row>
      <xdr:rowOff>69850</xdr:rowOff>
    </xdr:from>
    <xdr:to>
      <xdr:col>17</xdr:col>
      <xdr:colOff>565007</xdr:colOff>
      <xdr:row>16</xdr:row>
      <xdr:rowOff>117257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EA5C13A-3D78-E60A-E4EA-E7C4CE9E2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67351" y="69850"/>
          <a:ext cx="5460856" cy="29938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139700</xdr:rowOff>
    </xdr:from>
    <xdr:to>
      <xdr:col>9</xdr:col>
      <xdr:colOff>211170</xdr:colOff>
      <xdr:row>36</xdr:row>
      <xdr:rowOff>45047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2E7BAF9-AD0C-D321-C513-FDEA51C92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638550"/>
          <a:ext cx="5697570" cy="30358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63500</xdr:rowOff>
    </xdr:from>
    <xdr:to>
      <xdr:col>11</xdr:col>
      <xdr:colOff>349250</xdr:colOff>
      <xdr:row>22</xdr:row>
      <xdr:rowOff>71021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E561AA-1CCC-4BC3-6A54-C5442105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63500"/>
          <a:ext cx="6654800" cy="40588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12700</xdr:colOff>
      <xdr:row>0</xdr:row>
      <xdr:rowOff>127000</xdr:rowOff>
    </xdr:from>
    <xdr:to>
      <xdr:col>16</xdr:col>
      <xdr:colOff>234692</xdr:colOff>
      <xdr:row>20</xdr:row>
      <xdr:rowOff>95250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C8923EA-6DDB-0126-8636-6851C18A7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47100" y="127000"/>
          <a:ext cx="1441192" cy="3651250"/>
        </a:xfrm>
        <a:prstGeom prst="rect">
          <a:avLst/>
        </a:prstGeom>
      </xdr:spPr>
    </xdr:pic>
    <xdr:clientData/>
  </xdr:twoCellAnchor>
  <xdr:twoCellAnchor editAs="oneCell">
    <xdr:from>
      <xdr:col>14</xdr:col>
      <xdr:colOff>42270</xdr:colOff>
      <xdr:row>22</xdr:row>
      <xdr:rowOff>51917</xdr:rowOff>
    </xdr:from>
    <xdr:to>
      <xdr:col>16</xdr:col>
      <xdr:colOff>596900</xdr:colOff>
      <xdr:row>34</xdr:row>
      <xdr:rowOff>100396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D969FB4-B9DF-8C7A-F34E-1298068CD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6670" y="4103217"/>
          <a:ext cx="1773830" cy="225827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13</xdr:col>
      <xdr:colOff>419101</xdr:colOff>
      <xdr:row>31</xdr:row>
      <xdr:rowOff>137973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916BF5-0C40-7CB2-9686-550934B8F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0"/>
          <a:ext cx="8343900" cy="5846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dneyisotopecalc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sidneyisotopecalc.com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sidneyisotopecal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2549F-1AFE-4F30-AF94-A539576FE893}">
  <dimension ref="B2:T73"/>
  <sheetViews>
    <sheetView showGridLines="0" tabSelected="1" workbookViewId="0">
      <selection activeCell="H5" sqref="H5:J5"/>
    </sheetView>
  </sheetViews>
  <sheetFormatPr defaultRowHeight="14.5" x14ac:dyDescent="0.35"/>
  <cols>
    <col min="1" max="2" width="8.7265625" style="43"/>
    <col min="3" max="3" width="28.81640625" style="43" customWidth="1"/>
    <col min="4" max="4" width="26.08984375" style="43" customWidth="1"/>
    <col min="5" max="5" width="12" style="43" customWidth="1"/>
    <col min="6" max="6" width="21.81640625" style="43" customWidth="1"/>
    <col min="7" max="7" width="13.81640625" style="43" customWidth="1"/>
    <col min="8" max="8" width="11.7265625" style="43" customWidth="1"/>
    <col min="9" max="9" width="10.81640625" style="43" customWidth="1"/>
    <col min="10" max="10" width="11.26953125" style="43" customWidth="1"/>
    <col min="11" max="11" width="24.08984375" style="43" customWidth="1"/>
    <col min="12" max="12" width="20.54296875" style="43" customWidth="1"/>
    <col min="13" max="13" width="7.7265625" style="43" customWidth="1"/>
    <col min="14" max="14" width="23" style="43" customWidth="1"/>
    <col min="15" max="15" width="12.7265625" style="43" customWidth="1"/>
    <col min="16" max="16" width="8.7265625" style="43"/>
    <col min="17" max="17" width="11.81640625" style="43" customWidth="1"/>
    <col min="18" max="18" width="16.08984375" style="43" customWidth="1"/>
    <col min="19" max="19" width="22.1796875" style="43" customWidth="1"/>
    <col min="20" max="20" width="11.81640625" style="43" customWidth="1"/>
    <col min="21" max="16384" width="8.7265625" style="43"/>
  </cols>
  <sheetData>
    <row r="2" spans="2:20" ht="18.5" x14ac:dyDescent="0.45">
      <c r="C2" s="44" t="s">
        <v>88</v>
      </c>
      <c r="D2" s="44"/>
      <c r="E2" s="44"/>
      <c r="F2" s="45"/>
      <c r="H2" s="88"/>
    </row>
    <row r="3" spans="2:20" ht="15" thickBot="1" x14ac:dyDescent="0.4">
      <c r="H3" s="46"/>
    </row>
    <row r="4" spans="2:20" ht="16" thickBot="1" x14ac:dyDescent="0.4">
      <c r="C4" s="47" t="s">
        <v>89</v>
      </c>
      <c r="D4" s="86" t="s">
        <v>9</v>
      </c>
      <c r="E4" s="48"/>
      <c r="F4" s="48"/>
      <c r="G4" s="48"/>
      <c r="H4" s="48"/>
      <c r="J4" s="49"/>
      <c r="L4" s="50"/>
      <c r="O4" s="51"/>
      <c r="R4" s="50"/>
      <c r="S4" s="50"/>
      <c r="T4" s="50"/>
    </row>
    <row r="5" spans="2:20" ht="15" thickBot="1" x14ac:dyDescent="0.4">
      <c r="H5" s="100" t="s">
        <v>92</v>
      </c>
      <c r="I5" s="101"/>
      <c r="J5" s="101"/>
    </row>
    <row r="6" spans="2:20" ht="16" thickBot="1" x14ac:dyDescent="0.4">
      <c r="C6" s="52" t="s">
        <v>81</v>
      </c>
      <c r="D6" s="86" t="s">
        <v>73</v>
      </c>
      <c r="E6" s="48"/>
      <c r="F6" s="48"/>
      <c r="G6" s="48"/>
      <c r="H6" s="48"/>
      <c r="I6" s="48"/>
      <c r="J6" s="53"/>
      <c r="L6" s="50"/>
      <c r="O6" s="50"/>
      <c r="R6" s="50"/>
    </row>
    <row r="7" spans="2:20" ht="16" thickBot="1" x14ac:dyDescent="0.4">
      <c r="E7" s="54" t="s">
        <v>48</v>
      </c>
      <c r="G7" s="48"/>
      <c r="H7" s="48"/>
      <c r="I7" s="48"/>
      <c r="J7" s="53"/>
      <c r="K7" s="52"/>
      <c r="L7" s="55"/>
      <c r="M7" s="52"/>
      <c r="N7" s="56"/>
      <c r="O7" s="52"/>
    </row>
    <row r="8" spans="2:20" ht="15" thickBot="1" x14ac:dyDescent="0.4">
      <c r="C8" s="52" t="s">
        <v>82</v>
      </c>
      <c r="D8" s="87">
        <v>2.7</v>
      </c>
      <c r="E8" s="90" t="s">
        <v>42</v>
      </c>
    </row>
    <row r="10" spans="2:20" ht="19" thickBot="1" x14ac:dyDescent="0.5">
      <c r="C10" s="57" t="s">
        <v>80</v>
      </c>
      <c r="D10" s="58"/>
      <c r="E10" s="58"/>
      <c r="F10" s="58"/>
      <c r="G10" s="58"/>
      <c r="H10" s="58"/>
    </row>
    <row r="11" spans="2:20" x14ac:dyDescent="0.35">
      <c r="B11" s="59"/>
      <c r="C11" s="60" t="s">
        <v>68</v>
      </c>
      <c r="D11" s="61" t="s">
        <v>69</v>
      </c>
      <c r="E11" s="60"/>
      <c r="F11" s="61" t="s">
        <v>70</v>
      </c>
      <c r="G11" s="62"/>
      <c r="H11" s="62"/>
      <c r="I11" s="63"/>
      <c r="K11" s="52"/>
      <c r="L11" s="52"/>
      <c r="M11" s="52"/>
      <c r="S11" s="52"/>
    </row>
    <row r="12" spans="2:20" x14ac:dyDescent="0.35">
      <c r="B12" s="64"/>
      <c r="C12" s="91" t="str">
        <f>D4</f>
        <v>Y-90</v>
      </c>
      <c r="D12" s="92" t="str">
        <f>D6</f>
        <v>Acrylic (Lucite /plexiglass)</v>
      </c>
      <c r="E12" s="92"/>
      <c r="F12" s="92">
        <f>D8</f>
        <v>2.7</v>
      </c>
      <c r="G12" s="92" t="str">
        <f>E8</f>
        <v>GBq</v>
      </c>
      <c r="H12" s="93"/>
      <c r="I12" s="65"/>
      <c r="K12" s="66"/>
      <c r="L12" s="47"/>
      <c r="M12" s="66"/>
      <c r="N12" s="66"/>
      <c r="O12" s="47"/>
      <c r="R12" s="52"/>
      <c r="S12" s="66"/>
      <c r="T12" s="66"/>
    </row>
    <row r="13" spans="2:20" x14ac:dyDescent="0.35">
      <c r="B13" s="64"/>
      <c r="C13" s="93"/>
      <c r="D13" s="93"/>
      <c r="E13" s="93"/>
      <c r="F13" s="93"/>
      <c r="G13" s="93"/>
      <c r="H13" s="93"/>
      <c r="I13" s="65"/>
      <c r="K13" s="50"/>
      <c r="L13" s="50"/>
      <c r="M13" s="50"/>
      <c r="N13" s="67"/>
      <c r="O13" s="68"/>
      <c r="P13" s="50"/>
      <c r="Q13" s="50"/>
      <c r="R13" s="51"/>
      <c r="S13" s="68"/>
      <c r="T13" s="69"/>
    </row>
    <row r="14" spans="2:20" x14ac:dyDescent="0.35">
      <c r="B14" s="70" t="s">
        <v>63</v>
      </c>
      <c r="C14" s="94"/>
      <c r="D14" s="95">
        <f>Sheet3!D9</f>
        <v>9.2043840272218063</v>
      </c>
      <c r="E14" s="94" t="str">
        <f>Sheet3!E9</f>
        <v>mm</v>
      </c>
      <c r="F14" s="94"/>
      <c r="G14" s="94"/>
      <c r="H14" s="94"/>
      <c r="I14" s="71"/>
      <c r="K14" s="50"/>
      <c r="L14" s="50"/>
      <c r="M14" s="50"/>
      <c r="N14" s="67"/>
      <c r="O14" s="68"/>
      <c r="P14" s="50"/>
      <c r="Q14" s="50"/>
      <c r="R14" s="51"/>
      <c r="S14" s="68"/>
      <c r="T14" s="69"/>
    </row>
    <row r="15" spans="2:20" x14ac:dyDescent="0.35">
      <c r="B15" s="72"/>
      <c r="C15" s="94"/>
      <c r="D15" s="94"/>
      <c r="E15" s="94"/>
      <c r="F15" s="94"/>
      <c r="G15" s="94"/>
      <c r="H15" s="94"/>
      <c r="I15" s="71"/>
      <c r="K15" s="50"/>
      <c r="L15" s="50"/>
      <c r="M15" s="50"/>
      <c r="N15" s="67"/>
      <c r="O15" s="68"/>
      <c r="P15" s="50"/>
      <c r="Q15" s="50"/>
      <c r="R15" s="51"/>
      <c r="S15" s="68"/>
      <c r="T15" s="69"/>
    </row>
    <row r="16" spans="2:20" x14ac:dyDescent="0.35">
      <c r="B16" s="72" t="s">
        <v>65</v>
      </c>
      <c r="C16" s="94"/>
      <c r="D16" s="95">
        <f>D14</f>
        <v>9.2043840272218063</v>
      </c>
      <c r="E16" s="94" t="s">
        <v>28</v>
      </c>
      <c r="F16" s="91" t="str">
        <f>D6</f>
        <v>Acrylic (Lucite /plexiglass)</v>
      </c>
      <c r="G16" s="96" t="s">
        <v>62</v>
      </c>
      <c r="H16" s="92" t="str">
        <f>D4</f>
        <v>Y-90</v>
      </c>
      <c r="I16" s="73" t="s">
        <v>60</v>
      </c>
      <c r="K16" s="50"/>
      <c r="L16" s="50"/>
      <c r="M16" s="50"/>
      <c r="N16" s="67"/>
      <c r="O16" s="68"/>
      <c r="P16" s="50"/>
      <c r="Q16" s="50"/>
      <c r="R16" s="51"/>
      <c r="S16" s="68"/>
      <c r="T16" s="69"/>
    </row>
    <row r="17" spans="2:20" x14ac:dyDescent="0.35">
      <c r="B17" s="72"/>
      <c r="C17" s="94"/>
      <c r="D17" s="94"/>
      <c r="E17" s="94"/>
      <c r="F17" s="94"/>
      <c r="G17" s="94"/>
      <c r="H17" s="94"/>
      <c r="I17" s="71"/>
      <c r="K17" s="50"/>
      <c r="L17" s="50"/>
      <c r="M17" s="50"/>
      <c r="N17" s="67"/>
      <c r="O17" s="68"/>
      <c r="P17" s="50"/>
      <c r="Q17" s="50"/>
      <c r="R17" s="51"/>
      <c r="S17" s="68"/>
      <c r="T17" s="69"/>
    </row>
    <row r="18" spans="2:20" x14ac:dyDescent="0.35">
      <c r="B18" s="72" t="s">
        <v>64</v>
      </c>
      <c r="C18" s="97"/>
      <c r="D18" s="95">
        <f>Sheet3!B26</f>
        <v>1.0990824052139034</v>
      </c>
      <c r="E18" s="94" t="str">
        <f>Sheet3!C26</f>
        <v>µSv/hr</v>
      </c>
      <c r="F18" s="93"/>
      <c r="G18" s="93"/>
      <c r="H18" s="93"/>
      <c r="I18" s="65"/>
      <c r="K18" s="50"/>
      <c r="L18" s="50"/>
      <c r="M18" s="50"/>
      <c r="N18" s="67"/>
      <c r="O18" s="68"/>
      <c r="P18" s="50"/>
      <c r="Q18" s="50"/>
      <c r="R18" s="51"/>
      <c r="S18" s="68"/>
      <c r="T18" s="69"/>
    </row>
    <row r="19" spans="2:20" x14ac:dyDescent="0.35">
      <c r="B19" s="64"/>
      <c r="C19" s="93"/>
      <c r="D19" s="93"/>
      <c r="E19" s="93"/>
      <c r="F19" s="94"/>
      <c r="G19" s="94"/>
      <c r="H19" s="94"/>
      <c r="I19" s="73"/>
      <c r="K19" s="50"/>
      <c r="L19" s="50"/>
      <c r="M19" s="50"/>
      <c r="N19" s="67"/>
      <c r="O19" s="68"/>
      <c r="P19" s="50"/>
      <c r="Q19" s="50"/>
      <c r="R19" s="51"/>
      <c r="S19" s="68"/>
      <c r="T19" s="69"/>
    </row>
    <row r="20" spans="2:20" x14ac:dyDescent="0.35">
      <c r="B20" s="72" t="s">
        <v>90</v>
      </c>
      <c r="C20" s="94"/>
      <c r="D20" s="98">
        <f>Sheet3!D27</f>
        <v>2.7</v>
      </c>
      <c r="E20" s="94" t="str">
        <f>E8</f>
        <v>GBq</v>
      </c>
      <c r="F20" s="94" t="s">
        <v>61</v>
      </c>
      <c r="G20" s="92" t="str">
        <f>Sheet3!E27</f>
        <v>Y-90</v>
      </c>
      <c r="H20" s="94" t="s">
        <v>66</v>
      </c>
      <c r="I20" s="73"/>
      <c r="K20" s="50"/>
      <c r="L20" s="50"/>
      <c r="M20" s="50"/>
      <c r="N20" s="67"/>
      <c r="O20" s="68"/>
      <c r="P20" s="50"/>
      <c r="Q20" s="50"/>
      <c r="R20" s="51"/>
      <c r="S20" s="68"/>
      <c r="T20" s="69"/>
    </row>
    <row r="21" spans="2:20" ht="26" customHeight="1" x14ac:dyDescent="0.35">
      <c r="B21" s="72" t="s">
        <v>67</v>
      </c>
      <c r="C21" s="94"/>
      <c r="D21" s="95">
        <f>D18</f>
        <v>1.0990824052139034</v>
      </c>
      <c r="E21" s="94" t="str">
        <f>Sheet3!C24</f>
        <v>µSv/hr</v>
      </c>
      <c r="F21" s="94" t="s">
        <v>91</v>
      </c>
      <c r="G21" s="99" t="s">
        <v>71</v>
      </c>
      <c r="H21" s="99"/>
      <c r="I21" s="71"/>
      <c r="O21" s="50"/>
      <c r="P21" s="50"/>
      <c r="Q21" s="50"/>
      <c r="R21" s="50"/>
    </row>
    <row r="22" spans="2:20" ht="6.5" customHeight="1" thickBot="1" x14ac:dyDescent="0.4">
      <c r="B22" s="74"/>
      <c r="C22" s="75"/>
      <c r="D22" s="75"/>
      <c r="E22" s="75"/>
      <c r="F22" s="75"/>
      <c r="G22" s="75"/>
      <c r="H22" s="75"/>
      <c r="I22" s="76"/>
    </row>
    <row r="23" spans="2:20" x14ac:dyDescent="0.35">
      <c r="B23" s="77"/>
      <c r="C23" s="77"/>
      <c r="D23" s="77"/>
      <c r="E23" s="77"/>
      <c r="F23" s="77"/>
      <c r="G23" s="77"/>
      <c r="H23" s="77"/>
      <c r="I23" s="77"/>
      <c r="J23" s="77"/>
      <c r="K23" s="77"/>
    </row>
    <row r="25" spans="2:20" x14ac:dyDescent="0.35">
      <c r="K25" s="52"/>
      <c r="L25" s="52"/>
      <c r="M25" s="52"/>
      <c r="N25" s="52"/>
      <c r="O25" s="52"/>
      <c r="P25" s="52"/>
    </row>
    <row r="26" spans="2:20" x14ac:dyDescent="0.35">
      <c r="K26" s="66"/>
      <c r="L26" s="47"/>
      <c r="M26" s="66"/>
      <c r="N26" s="66"/>
      <c r="O26" s="47"/>
      <c r="P26" s="66"/>
    </row>
    <row r="27" spans="2:20" x14ac:dyDescent="0.35">
      <c r="K27" s="50"/>
      <c r="L27" s="50"/>
      <c r="M27" s="50"/>
      <c r="N27" s="50"/>
      <c r="O27" s="50"/>
      <c r="P27" s="50"/>
    </row>
    <row r="28" spans="2:20" x14ac:dyDescent="0.35">
      <c r="K28" s="50"/>
      <c r="L28" s="50"/>
      <c r="M28" s="50"/>
      <c r="N28" s="50"/>
      <c r="O28" s="50"/>
      <c r="P28" s="50"/>
    </row>
    <row r="29" spans="2:20" x14ac:dyDescent="0.35">
      <c r="K29" s="50"/>
      <c r="L29" s="50"/>
      <c r="M29" s="50"/>
      <c r="N29" s="50"/>
      <c r="O29" s="50"/>
      <c r="P29" s="50"/>
    </row>
    <row r="30" spans="2:20" x14ac:dyDescent="0.35">
      <c r="K30" s="50"/>
      <c r="L30" s="50"/>
      <c r="M30" s="50"/>
      <c r="N30" s="50"/>
      <c r="O30" s="50"/>
      <c r="P30" s="50"/>
    </row>
    <row r="31" spans="2:20" x14ac:dyDescent="0.35">
      <c r="K31" s="50"/>
      <c r="L31" s="50"/>
      <c r="M31" s="50"/>
      <c r="N31" s="50"/>
      <c r="O31" s="50"/>
      <c r="P31" s="50"/>
    </row>
    <row r="32" spans="2:20" x14ac:dyDescent="0.35">
      <c r="K32" s="50"/>
      <c r="L32" s="50"/>
      <c r="M32" s="50"/>
      <c r="N32" s="50"/>
      <c r="O32" s="50"/>
      <c r="P32" s="50"/>
    </row>
    <row r="33" spans="11:16" x14ac:dyDescent="0.35">
      <c r="K33" s="50"/>
      <c r="L33" s="50"/>
      <c r="M33" s="50"/>
      <c r="N33" s="50"/>
      <c r="O33" s="50"/>
      <c r="P33" s="50"/>
    </row>
    <row r="34" spans="11:16" x14ac:dyDescent="0.35">
      <c r="K34" s="50"/>
      <c r="L34" s="50"/>
      <c r="M34" s="50"/>
      <c r="N34" s="50"/>
      <c r="O34" s="50"/>
      <c r="P34" s="50"/>
    </row>
    <row r="35" spans="11:16" x14ac:dyDescent="0.35">
      <c r="K35" s="50"/>
      <c r="L35" s="50"/>
      <c r="M35" s="50"/>
      <c r="N35" s="50"/>
      <c r="O35" s="50"/>
    </row>
    <row r="39" spans="11:16" x14ac:dyDescent="0.35">
      <c r="K39" s="78"/>
      <c r="N39" s="78"/>
    </row>
    <row r="40" spans="11:16" x14ac:dyDescent="0.35">
      <c r="K40" s="52"/>
      <c r="L40" s="52"/>
      <c r="N40" s="52"/>
      <c r="O40" s="52"/>
    </row>
    <row r="41" spans="11:16" x14ac:dyDescent="0.35">
      <c r="K41" s="50"/>
      <c r="L41" s="50"/>
      <c r="N41" s="50"/>
      <c r="O41" s="50"/>
    </row>
    <row r="42" spans="11:16" x14ac:dyDescent="0.35">
      <c r="K42" s="50"/>
      <c r="L42" s="67"/>
      <c r="N42" s="50"/>
      <c r="O42" s="79"/>
    </row>
    <row r="43" spans="11:16" x14ac:dyDescent="0.35">
      <c r="K43" s="50"/>
      <c r="L43" s="67"/>
      <c r="N43" s="50"/>
      <c r="O43" s="50"/>
    </row>
    <row r="44" spans="11:16" x14ac:dyDescent="0.35">
      <c r="K44" s="50"/>
      <c r="L44" s="50"/>
      <c r="N44" s="80"/>
      <c r="O44" s="50"/>
    </row>
    <row r="45" spans="11:16" x14ac:dyDescent="0.35">
      <c r="K45" s="50"/>
      <c r="L45" s="67"/>
      <c r="N45" s="50"/>
      <c r="O45" s="50"/>
    </row>
    <row r="47" spans="11:16" x14ac:dyDescent="0.35">
      <c r="K47" s="50"/>
      <c r="L47" s="67"/>
      <c r="N47" s="50"/>
      <c r="O47" s="50"/>
    </row>
    <row r="50" spans="11:14" x14ac:dyDescent="0.35">
      <c r="K50" s="50"/>
      <c r="N50" s="81"/>
    </row>
    <row r="52" spans="11:14" x14ac:dyDescent="0.35">
      <c r="K52" s="66"/>
      <c r="L52" s="66"/>
    </row>
    <row r="53" spans="11:14" x14ac:dyDescent="0.35">
      <c r="K53" s="50"/>
      <c r="L53" s="81"/>
    </row>
    <row r="54" spans="11:14" x14ac:dyDescent="0.35">
      <c r="K54" s="50"/>
      <c r="L54" s="81"/>
    </row>
    <row r="55" spans="11:14" x14ac:dyDescent="0.35">
      <c r="K55" s="50"/>
      <c r="L55" s="81"/>
    </row>
    <row r="56" spans="11:14" x14ac:dyDescent="0.35">
      <c r="K56" s="50"/>
      <c r="L56" s="81"/>
    </row>
    <row r="57" spans="11:14" x14ac:dyDescent="0.35">
      <c r="K57" s="50"/>
      <c r="L57" s="81"/>
    </row>
    <row r="58" spans="11:14" x14ac:dyDescent="0.35">
      <c r="K58" s="50"/>
      <c r="L58" s="81"/>
    </row>
    <row r="60" spans="11:14" x14ac:dyDescent="0.35">
      <c r="K60" s="80"/>
      <c r="M60" s="50"/>
      <c r="N60" s="82"/>
    </row>
    <row r="62" spans="11:14" x14ac:dyDescent="0.35">
      <c r="L62" s="50"/>
      <c r="N62" s="81"/>
    </row>
    <row r="63" spans="11:14" x14ac:dyDescent="0.35">
      <c r="L63" s="50"/>
    </row>
    <row r="64" spans="11:14" x14ac:dyDescent="0.35">
      <c r="L64" s="81"/>
    </row>
    <row r="65" spans="12:15" x14ac:dyDescent="0.35">
      <c r="L65" s="81"/>
    </row>
    <row r="66" spans="12:15" x14ac:dyDescent="0.35">
      <c r="L66" s="81"/>
    </row>
    <row r="69" spans="12:15" x14ac:dyDescent="0.35">
      <c r="L69" s="83"/>
      <c r="M69" s="83"/>
      <c r="N69" s="83"/>
      <c r="O69" s="83"/>
    </row>
    <row r="72" spans="12:15" x14ac:dyDescent="0.35">
      <c r="L72" s="84"/>
    </row>
    <row r="73" spans="12:15" x14ac:dyDescent="0.35">
      <c r="L73" s="84"/>
      <c r="M73" s="85"/>
    </row>
  </sheetData>
  <sheetProtection algorithmName="SHA-512" hashValue="AwUkzS3l6oJf+7c0bXCGY6aDYzlq2vhS4Ttzbfe7Eaiid4z9v9OZ6eMmMHIDtX6oH38iMJwpCOpZQa8wHqQqRg==" saltValue="jyIvhQbY3KvkOZQVYfERAA==" spinCount="100000" sheet="1" objects="1" scenarios="1" selectLockedCells="1"/>
  <mergeCells count="1">
    <mergeCell ref="H5:J5"/>
  </mergeCells>
  <hyperlinks>
    <hyperlink ref="H5" r:id="rId1" xr:uid="{7A1E8A5D-A12D-414D-BF31-8D692353CE4F}"/>
  </hyperlinks>
  <pageMargins left="0.7" right="0.7" top="0.75" bottom="0.75" header="0.3" footer="0.3"/>
  <pageSetup orientation="portrait" horizontalDpi="300" verticalDpi="300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58A7996-1632-470F-9EDC-03ABE5742A6E}">
          <x14:formula1>
            <xm:f>'Sheet 2'!$B$6:$B$13</xm:f>
          </x14:formula1>
          <xm:sqref>D4</xm:sqref>
        </x14:dataValidation>
        <x14:dataValidation type="list" allowBlank="1" showInputMessage="1" showErrorMessage="1" xr:uid="{47265131-9681-4A35-949C-B05C08BB8BD3}">
          <x14:formula1>
            <xm:f>'Sheet 2'!$B$25:$B$30</xm:f>
          </x14:formula1>
          <xm:sqref>E8</xm:sqref>
        </x14:dataValidation>
        <x14:dataValidation type="list" allowBlank="1" showInputMessage="1" showErrorMessage="1" xr:uid="{059F5396-581B-415A-B286-C21718A0BDDC}">
          <x14:formula1>
            <xm:f>'Sheet 2'!$B$18:$B$22</xm:f>
          </x14:formula1>
          <xm:sqref>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D73A5-1C5C-4053-8EF5-F765B2397401}">
  <dimension ref="B2:F30"/>
  <sheetViews>
    <sheetView showGridLines="0" workbookViewId="0">
      <selection activeCell="K19" sqref="K19"/>
    </sheetView>
  </sheetViews>
  <sheetFormatPr defaultRowHeight="14.5" x14ac:dyDescent="0.35"/>
  <cols>
    <col min="2" max="2" width="24.6328125" customWidth="1"/>
    <col min="3" max="3" width="13.54296875" customWidth="1"/>
    <col min="4" max="4" width="11.6328125" customWidth="1"/>
    <col min="5" max="5" width="24.90625" customWidth="1"/>
    <col min="6" max="6" width="10.6328125" customWidth="1"/>
  </cols>
  <sheetData>
    <row r="2" spans="2:6" ht="18.5" x14ac:dyDescent="0.45">
      <c r="D2" s="19" t="s">
        <v>76</v>
      </c>
      <c r="E2" s="18"/>
    </row>
    <row r="4" spans="2:6" x14ac:dyDescent="0.35">
      <c r="B4" s="3" t="s">
        <v>0</v>
      </c>
      <c r="C4" s="2"/>
      <c r="D4" s="2"/>
    </row>
    <row r="5" spans="2:6" x14ac:dyDescent="0.35">
      <c r="B5" s="3" t="s">
        <v>2</v>
      </c>
      <c r="C5" s="2" t="s">
        <v>14</v>
      </c>
      <c r="D5" s="2"/>
      <c r="E5" s="4" t="s">
        <v>17</v>
      </c>
      <c r="F5" s="3"/>
    </row>
    <row r="6" spans="2:6" x14ac:dyDescent="0.35">
      <c r="B6" s="1" t="s">
        <v>4</v>
      </c>
      <c r="C6" s="1">
        <v>0.157</v>
      </c>
      <c r="E6" s="1">
        <v>2.52E-2</v>
      </c>
      <c r="F6" s="1"/>
    </row>
    <row r="7" spans="2:6" x14ac:dyDescent="0.35">
      <c r="B7" s="1" t="s">
        <v>7</v>
      </c>
      <c r="C7" s="1">
        <v>0.25700000000000001</v>
      </c>
      <c r="E7" s="1">
        <v>2.7900000000000001E-2</v>
      </c>
      <c r="F7" s="1"/>
    </row>
    <row r="8" spans="2:6" x14ac:dyDescent="0.35">
      <c r="B8" s="1" t="s">
        <v>1</v>
      </c>
      <c r="C8" s="1">
        <v>1.8599999999999998E-2</v>
      </c>
      <c r="E8" s="1">
        <v>0.67700000000000005</v>
      </c>
      <c r="F8" s="1"/>
    </row>
    <row r="9" spans="2:6" x14ac:dyDescent="0.35">
      <c r="B9" s="1" t="s">
        <v>3</v>
      </c>
      <c r="C9" s="1">
        <v>6.6000000000000003E-2</v>
      </c>
      <c r="E9" s="1">
        <v>2.81E-2</v>
      </c>
      <c r="F9" s="1"/>
    </row>
    <row r="10" spans="2:6" x14ac:dyDescent="0.35">
      <c r="B10" s="1" t="s">
        <v>8</v>
      </c>
      <c r="C10" s="1">
        <v>1.71</v>
      </c>
      <c r="E10" s="1">
        <v>2.4500000000000001E-2</v>
      </c>
      <c r="F10" s="1"/>
    </row>
    <row r="11" spans="2:6" x14ac:dyDescent="0.35">
      <c r="B11" s="1" t="s">
        <v>6</v>
      </c>
      <c r="C11" s="1">
        <v>0.22500000000000001</v>
      </c>
      <c r="E11" s="1">
        <v>2.7300000000000001E-2</v>
      </c>
      <c r="F11" s="1"/>
    </row>
    <row r="12" spans="2:6" x14ac:dyDescent="0.35">
      <c r="B12" s="1" t="s">
        <v>5</v>
      </c>
      <c r="C12" s="1">
        <v>0.16700000000000001</v>
      </c>
      <c r="E12" s="1">
        <v>2.5600000000000001E-2</v>
      </c>
      <c r="F12" s="1"/>
    </row>
    <row r="13" spans="2:6" x14ac:dyDescent="0.35">
      <c r="B13" s="1" t="s">
        <v>9</v>
      </c>
      <c r="C13" s="1">
        <v>2.2799999999999998</v>
      </c>
      <c r="E13" s="1">
        <v>2.2499999999999999E-2</v>
      </c>
      <c r="F13" s="1"/>
    </row>
    <row r="14" spans="2:6" x14ac:dyDescent="0.35">
      <c r="C14" s="1"/>
    </row>
    <row r="16" spans="2:6" x14ac:dyDescent="0.35">
      <c r="B16" s="17" t="s">
        <v>10</v>
      </c>
      <c r="E16" s="17" t="s">
        <v>10</v>
      </c>
    </row>
    <row r="17" spans="2:6" x14ac:dyDescent="0.35">
      <c r="B17" s="3" t="s">
        <v>11</v>
      </c>
      <c r="C17" s="2" t="s">
        <v>15</v>
      </c>
      <c r="E17" s="3" t="s">
        <v>11</v>
      </c>
      <c r="F17" s="4" t="s">
        <v>16</v>
      </c>
    </row>
    <row r="18" spans="2:6" x14ac:dyDescent="0.35">
      <c r="B18" s="1" t="s">
        <v>73</v>
      </c>
      <c r="C18" s="1">
        <v>1.19</v>
      </c>
      <c r="E18" s="1" t="s">
        <v>73</v>
      </c>
      <c r="F18" s="1">
        <v>6.5</v>
      </c>
    </row>
    <row r="19" spans="2:6" x14ac:dyDescent="0.35">
      <c r="B19" s="1" t="s">
        <v>12</v>
      </c>
      <c r="C19" s="6">
        <v>2.7</v>
      </c>
      <c r="E19" s="1" t="s">
        <v>12</v>
      </c>
      <c r="F19" s="5">
        <v>13</v>
      </c>
    </row>
    <row r="20" spans="2:6" x14ac:dyDescent="0.35">
      <c r="B20" s="1" t="s">
        <v>13</v>
      </c>
      <c r="C20" s="6">
        <v>2.5</v>
      </c>
      <c r="E20" s="1" t="s">
        <v>13</v>
      </c>
      <c r="F20" s="1">
        <v>11.75</v>
      </c>
    </row>
    <row r="21" spans="2:6" x14ac:dyDescent="0.35">
      <c r="B21" s="1" t="s">
        <v>59</v>
      </c>
      <c r="C21" s="1">
        <v>1.1499999999999999</v>
      </c>
      <c r="E21" s="1" t="s">
        <v>59</v>
      </c>
      <c r="F21" s="1">
        <v>5.6</v>
      </c>
    </row>
    <row r="22" spans="2:6" x14ac:dyDescent="0.35">
      <c r="B22" s="1" t="s">
        <v>18</v>
      </c>
      <c r="C22" s="6">
        <v>1</v>
      </c>
      <c r="E22" s="1" t="s">
        <v>18</v>
      </c>
      <c r="F22" s="1">
        <v>7.42</v>
      </c>
    </row>
    <row r="24" spans="2:6" x14ac:dyDescent="0.35">
      <c r="B24" s="3" t="s">
        <v>41</v>
      </c>
      <c r="C24" s="3" t="s">
        <v>47</v>
      </c>
    </row>
    <row r="25" spans="2:6" x14ac:dyDescent="0.35">
      <c r="B25" s="1" t="s">
        <v>42</v>
      </c>
      <c r="C25" s="10">
        <v>1000000000</v>
      </c>
    </row>
    <row r="26" spans="2:6" x14ac:dyDescent="0.35">
      <c r="B26" s="1" t="s">
        <v>30</v>
      </c>
      <c r="C26" s="10">
        <v>1000000</v>
      </c>
    </row>
    <row r="27" spans="2:6" x14ac:dyDescent="0.35">
      <c r="B27" s="1" t="s">
        <v>43</v>
      </c>
      <c r="C27" s="10">
        <v>1000</v>
      </c>
    </row>
    <row r="28" spans="2:6" x14ac:dyDescent="0.35">
      <c r="B28" s="1" t="s">
        <v>44</v>
      </c>
      <c r="C28" s="10">
        <v>37000000000</v>
      </c>
    </row>
    <row r="29" spans="2:6" x14ac:dyDescent="0.35">
      <c r="B29" s="1" t="s">
        <v>45</v>
      </c>
      <c r="C29" s="10">
        <v>37000000</v>
      </c>
    </row>
    <row r="30" spans="2:6" x14ac:dyDescent="0.35">
      <c r="B30" s="1" t="s">
        <v>46</v>
      </c>
      <c r="C30" s="10">
        <v>37000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F5609-2ED1-4EBC-9936-F9C62726F0F2}">
  <dimension ref="A1:J63"/>
  <sheetViews>
    <sheetView showGridLines="0" topLeftCell="A7" workbookViewId="0">
      <selection activeCell="E20" sqref="E20"/>
    </sheetView>
  </sheetViews>
  <sheetFormatPr defaultRowHeight="14.5" x14ac:dyDescent="0.35"/>
  <cols>
    <col min="1" max="1" width="28.453125" customWidth="1"/>
    <col min="2" max="2" width="21.90625" customWidth="1"/>
    <col min="3" max="3" width="16.90625" customWidth="1"/>
    <col min="4" max="4" width="23" customWidth="1"/>
    <col min="5" max="5" width="19.36328125" customWidth="1"/>
    <col min="6" max="6" width="17.90625" customWidth="1"/>
    <col min="7" max="7" width="16.26953125" customWidth="1"/>
    <col min="8" max="8" width="17.54296875" customWidth="1"/>
    <col min="9" max="9" width="23.36328125" customWidth="1"/>
    <col min="10" max="10" width="13.6328125" customWidth="1"/>
  </cols>
  <sheetData>
    <row r="1" spans="1:10" ht="18.5" x14ac:dyDescent="0.45">
      <c r="C1" s="20" t="s">
        <v>77</v>
      </c>
    </row>
    <row r="3" spans="1:10" x14ac:dyDescent="0.35">
      <c r="A3" s="1" t="s">
        <v>22</v>
      </c>
      <c r="B3" s="1" t="str">
        <f>Sheet1!D4</f>
        <v>Y-90</v>
      </c>
      <c r="C3" s="1"/>
      <c r="D3" s="1" t="s">
        <v>23</v>
      </c>
      <c r="E3" s="9">
        <f>VLOOKUP(B3,A30:G37,7,FALSE)</f>
        <v>1.095321699239395</v>
      </c>
      <c r="F3" s="1"/>
      <c r="G3" s="1" t="s">
        <v>38</v>
      </c>
      <c r="H3" s="1">
        <f>VLOOKUP(B3,A30:G37,2,FALSE)</f>
        <v>2.2799999999999998</v>
      </c>
      <c r="I3" s="1" t="s">
        <v>39</v>
      </c>
      <c r="J3" s="1">
        <f>VLOOKUP(B3,A40:B47,2,FALSE)</f>
        <v>2.2499999999999999E-2</v>
      </c>
    </row>
    <row r="4" spans="1:10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5">
      <c r="A5" s="1" t="s">
        <v>24</v>
      </c>
      <c r="B5" s="7" t="str">
        <f>Sheet1!D6</f>
        <v>Acrylic (Lucite /plexiglass)</v>
      </c>
      <c r="C5" s="1"/>
      <c r="D5" s="1" t="s">
        <v>25</v>
      </c>
      <c r="E5" s="1">
        <f>VLOOKUP(B5,A51:C55,2,FALSE)</f>
        <v>1.19</v>
      </c>
      <c r="F5" s="1"/>
      <c r="G5" s="1" t="s">
        <v>78</v>
      </c>
      <c r="H5" s="1">
        <f>VLOOKUP(B5,A51:C55,3,FALSE)</f>
        <v>6.5</v>
      </c>
      <c r="I5" s="1"/>
      <c r="J5" s="1"/>
    </row>
    <row r="6" spans="1:10" x14ac:dyDescent="0.35">
      <c r="A6" s="1"/>
    </row>
    <row r="7" spans="1:10" x14ac:dyDescent="0.35">
      <c r="A7" s="1" t="s">
        <v>49</v>
      </c>
      <c r="B7" s="1" t="str">
        <f>Sheet1!E8</f>
        <v>GBq</v>
      </c>
      <c r="D7" s="1" t="s">
        <v>50</v>
      </c>
      <c r="E7" s="10">
        <f>VLOOKUP(B7,A58:B63,2,FALSE)</f>
        <v>1000000000</v>
      </c>
    </row>
    <row r="8" spans="1:10" ht="15" thickBot="1" x14ac:dyDescent="0.4">
      <c r="A8" s="1"/>
    </row>
    <row r="9" spans="1:10" ht="15" thickBot="1" x14ac:dyDescent="0.4">
      <c r="A9" s="23" t="s">
        <v>26</v>
      </c>
      <c r="B9" s="24">
        <f>E3/E5</f>
        <v>0.92043840272218069</v>
      </c>
      <c r="C9" s="25" t="s">
        <v>27</v>
      </c>
      <c r="D9" s="24">
        <f>B9*10</f>
        <v>9.2043840272218063</v>
      </c>
      <c r="E9" s="26" t="s">
        <v>28</v>
      </c>
    </row>
    <row r="10" spans="1:10" x14ac:dyDescent="0.35">
      <c r="A10" s="2"/>
      <c r="B10" s="21"/>
      <c r="C10" s="2"/>
      <c r="D10" s="22"/>
      <c r="E10" s="2"/>
    </row>
    <row r="11" spans="1:10" x14ac:dyDescent="0.35">
      <c r="A11" s="4" t="s">
        <v>40</v>
      </c>
      <c r="B11" s="2"/>
      <c r="C11" s="1"/>
      <c r="D11" s="11">
        <f>3.5*10^-4*H3*H5</f>
        <v>5.1869999999999989E-3</v>
      </c>
      <c r="E11" s="2"/>
    </row>
    <row r="12" spans="1:10" x14ac:dyDescent="0.35">
      <c r="A12" s="2"/>
      <c r="B12" s="21"/>
      <c r="C12" s="2"/>
      <c r="D12" s="22"/>
      <c r="E12" s="2"/>
    </row>
    <row r="13" spans="1:10" x14ac:dyDescent="0.35">
      <c r="A13" s="1" t="s">
        <v>29</v>
      </c>
      <c r="B13" s="1">
        <f>Sheet1!D8</f>
        <v>2.7</v>
      </c>
      <c r="C13" t="str">
        <f>B7</f>
        <v>GBq</v>
      </c>
      <c r="D13" s="10">
        <f>B13*E7</f>
        <v>2700000000</v>
      </c>
      <c r="E13" t="s">
        <v>34</v>
      </c>
    </row>
    <row r="14" spans="1:10" x14ac:dyDescent="0.35">
      <c r="A14" s="1" t="s">
        <v>51</v>
      </c>
      <c r="B14" s="1">
        <f>H3/ 3</f>
        <v>0.7599999999999999</v>
      </c>
      <c r="C14" t="s">
        <v>31</v>
      </c>
    </row>
    <row r="15" spans="1:10" x14ac:dyDescent="0.35">
      <c r="A15" s="1" t="s">
        <v>32</v>
      </c>
      <c r="B15" s="10">
        <v>1.6019999999999999E-13</v>
      </c>
      <c r="C15" t="s">
        <v>33</v>
      </c>
    </row>
    <row r="16" spans="1:10" x14ac:dyDescent="0.35">
      <c r="A16" s="1" t="s">
        <v>35</v>
      </c>
      <c r="B16" s="10">
        <f>D13*3600*B14</f>
        <v>7387199999999.999</v>
      </c>
    </row>
    <row r="17" spans="1:7" x14ac:dyDescent="0.35">
      <c r="A17" s="1" t="s">
        <v>36</v>
      </c>
      <c r="B17" s="10">
        <f>B16*B15</f>
        <v>1.1834294399999998</v>
      </c>
      <c r="C17" s="7" t="s">
        <v>37</v>
      </c>
    </row>
    <row r="18" spans="1:7" x14ac:dyDescent="0.35">
      <c r="A18" t="s">
        <v>58</v>
      </c>
      <c r="C18" s="1">
        <f>10^-1</f>
        <v>0.1</v>
      </c>
    </row>
    <row r="19" spans="1:7" x14ac:dyDescent="0.35">
      <c r="A19" s="2"/>
      <c r="B19" s="21"/>
      <c r="C19" s="2"/>
      <c r="D19" s="22"/>
      <c r="E19" s="2"/>
    </row>
    <row r="20" spans="1:7" x14ac:dyDescent="0.35">
      <c r="A20" s="1" t="s">
        <v>52</v>
      </c>
      <c r="B20" s="13" t="s">
        <v>53</v>
      </c>
      <c r="C20" s="13"/>
      <c r="D20" s="13"/>
      <c r="E20" s="13"/>
    </row>
    <row r="21" spans="1:7" x14ac:dyDescent="0.35">
      <c r="C21" t="s">
        <v>54</v>
      </c>
    </row>
    <row r="22" spans="1:7" ht="15" thickBot="1" x14ac:dyDescent="0.4">
      <c r="A22" s="2"/>
      <c r="B22" s="21"/>
      <c r="C22" s="2"/>
      <c r="D22" s="22"/>
    </row>
    <row r="23" spans="1:7" x14ac:dyDescent="0.35">
      <c r="A23" s="27" t="s">
        <v>79</v>
      </c>
      <c r="B23" s="28">
        <f>(B17*D11*J3)*C18/(4*3.1416)</f>
        <v>1.0990824052139034E-6</v>
      </c>
      <c r="C23" s="32" t="s">
        <v>55</v>
      </c>
      <c r="D23" s="22" t="s">
        <v>87</v>
      </c>
    </row>
    <row r="24" spans="1:7" ht="15" thickBot="1" x14ac:dyDescent="0.4">
      <c r="A24" s="30" t="s">
        <v>56</v>
      </c>
      <c r="B24" s="31">
        <f>B23*(1*10^6)</f>
        <v>1.0990824052139034</v>
      </c>
      <c r="C24" s="33" t="s">
        <v>57</v>
      </c>
      <c r="D24" s="22"/>
      <c r="E24" s="2"/>
    </row>
    <row r="25" spans="1:7" ht="15" thickBot="1" x14ac:dyDescent="0.4">
      <c r="B25" s="12"/>
      <c r="C25" s="14"/>
    </row>
    <row r="26" spans="1:7" ht="15" thickBot="1" x14ac:dyDescent="0.4">
      <c r="A26" s="35" t="s">
        <v>85</v>
      </c>
      <c r="B26" s="38">
        <f>IF(OR(B3="H-3",B3 = "C-14",B3 = "Ni-63"), "omitted", B24)</f>
        <v>1.0990824052139034</v>
      </c>
      <c r="C26" s="39" t="s">
        <v>57</v>
      </c>
      <c r="D26" s="40" t="s">
        <v>83</v>
      </c>
      <c r="E26" s="29" t="s">
        <v>84</v>
      </c>
    </row>
    <row r="27" spans="1:7" ht="15.5" thickTop="1" thickBot="1" x14ac:dyDescent="0.4">
      <c r="A27" s="34" t="s">
        <v>86</v>
      </c>
      <c r="B27" s="36"/>
      <c r="C27" s="37"/>
      <c r="D27" s="41">
        <f>IF(B26="omitted","omitted",B13)</f>
        <v>2.7</v>
      </c>
      <c r="E27" s="42" t="str">
        <f>IF(B26="omitted","omitted",B3)</f>
        <v>Y-90</v>
      </c>
    </row>
    <row r="28" spans="1:7" x14ac:dyDescent="0.35">
      <c r="B28" s="12"/>
      <c r="C28" s="14"/>
      <c r="D28" s="22"/>
      <c r="E28" s="2"/>
    </row>
    <row r="29" spans="1:7" x14ac:dyDescent="0.35">
      <c r="B29" s="3" t="s">
        <v>72</v>
      </c>
      <c r="C29" s="3" t="s">
        <v>19</v>
      </c>
      <c r="D29" s="3" t="s">
        <v>20</v>
      </c>
      <c r="E29" s="3" t="s">
        <v>74</v>
      </c>
      <c r="F29" s="3" t="s">
        <v>75</v>
      </c>
      <c r="G29" s="3" t="s">
        <v>21</v>
      </c>
    </row>
    <row r="30" spans="1:7" x14ac:dyDescent="0.35">
      <c r="A30" s="1" t="s">
        <v>4</v>
      </c>
      <c r="B30" s="1">
        <v>0.157</v>
      </c>
      <c r="C30" s="6">
        <f>LN(B30)</f>
        <v>-1.8515094736338289</v>
      </c>
      <c r="D30" s="8">
        <f>1.265-0.0954*C30</f>
        <v>1.4416340037846671</v>
      </c>
      <c r="E30" s="16">
        <f t="shared" ref="E30:E37" si="0" xml:space="preserve"> B30 ^ D30</f>
        <v>6.9307717488245907E-2</v>
      </c>
      <c r="F30" s="8">
        <f>412*E30</f>
        <v>28.554779605157314</v>
      </c>
      <c r="G30" s="9">
        <f>0.001*F30</f>
        <v>2.8554779605157316E-2</v>
      </c>
    </row>
    <row r="31" spans="1:7" x14ac:dyDescent="0.35">
      <c r="A31" s="1" t="s">
        <v>7</v>
      </c>
      <c r="B31" s="1">
        <v>0.25700000000000001</v>
      </c>
      <c r="C31" s="6">
        <f t="shared" ref="C31:C37" si="1">LN(B31)</f>
        <v>-1.3586791940869172</v>
      </c>
      <c r="D31" s="8">
        <f t="shared" ref="D31:D37" si="2">1.265-0.0954*C31</f>
        <v>1.3946179951158917</v>
      </c>
      <c r="E31" s="16">
        <f t="shared" si="0"/>
        <v>0.15034262038433605</v>
      </c>
      <c r="F31" s="8">
        <f t="shared" ref="F31:F37" si="3">412*E31</f>
        <v>61.941159598346452</v>
      </c>
      <c r="G31" s="9">
        <f t="shared" ref="G31:G37" si="4">0.001*F31</f>
        <v>6.1941159598346451E-2</v>
      </c>
    </row>
    <row r="32" spans="1:7" x14ac:dyDescent="0.35">
      <c r="A32" s="1" t="s">
        <v>1</v>
      </c>
      <c r="B32" s="1">
        <v>1.8599999999999998E-2</v>
      </c>
      <c r="C32" s="6">
        <f t="shared" si="1"/>
        <v>-3.9845936982629815</v>
      </c>
      <c r="D32" s="8">
        <f t="shared" si="2"/>
        <v>1.6451302388142883</v>
      </c>
      <c r="E32" s="16">
        <f t="shared" si="0"/>
        <v>1.422733038189078E-3</v>
      </c>
      <c r="F32" s="8">
        <f t="shared" si="3"/>
        <v>0.58616601173390015</v>
      </c>
      <c r="G32" s="9">
        <f t="shared" si="4"/>
        <v>5.8616601173390015E-4</v>
      </c>
    </row>
    <row r="33" spans="1:7" x14ac:dyDescent="0.35">
      <c r="A33" s="1" t="s">
        <v>3</v>
      </c>
      <c r="B33" s="1">
        <v>6.6000000000000003E-2</v>
      </c>
      <c r="C33" s="6">
        <f t="shared" si="1"/>
        <v>-2.7181005369557116</v>
      </c>
      <c r="D33" s="8">
        <f t="shared" si="2"/>
        <v>1.5243067912255748</v>
      </c>
      <c r="E33" s="16">
        <f t="shared" si="0"/>
        <v>1.5871676543429591E-2</v>
      </c>
      <c r="F33" s="8">
        <f t="shared" si="3"/>
        <v>6.5391307358929911</v>
      </c>
      <c r="G33" s="9">
        <f t="shared" si="4"/>
        <v>6.5391307358929913E-3</v>
      </c>
    </row>
    <row r="34" spans="1:7" x14ac:dyDescent="0.35">
      <c r="A34" s="1" t="s">
        <v>8</v>
      </c>
      <c r="B34" s="1">
        <v>1.71</v>
      </c>
      <c r="C34" s="6">
        <f t="shared" si="1"/>
        <v>0.53649337051456847</v>
      </c>
      <c r="D34" s="8">
        <f t="shared" si="2"/>
        <v>1.21381853245291</v>
      </c>
      <c r="E34" s="16">
        <f t="shared" si="0"/>
        <v>1.9178515893820525</v>
      </c>
      <c r="F34" s="8">
        <f t="shared" si="3"/>
        <v>790.15485482540566</v>
      </c>
      <c r="G34" s="9">
        <f t="shared" si="4"/>
        <v>0.79015485482540571</v>
      </c>
    </row>
    <row r="35" spans="1:7" x14ac:dyDescent="0.35">
      <c r="A35" s="1" t="s">
        <v>6</v>
      </c>
      <c r="B35" s="1">
        <v>0.22500000000000001</v>
      </c>
      <c r="C35" s="6">
        <f t="shared" si="1"/>
        <v>-1.4916548767777169</v>
      </c>
      <c r="D35" s="8">
        <f t="shared" si="2"/>
        <v>1.4073038752445941</v>
      </c>
      <c r="E35" s="16">
        <f t="shared" si="0"/>
        <v>0.12255300010866783</v>
      </c>
      <c r="F35" s="8">
        <f t="shared" si="3"/>
        <v>50.491836044771148</v>
      </c>
      <c r="G35" s="9">
        <f t="shared" si="4"/>
        <v>5.049183604477115E-2</v>
      </c>
    </row>
    <row r="36" spans="1:7" x14ac:dyDescent="0.35">
      <c r="A36" s="1" t="s">
        <v>5</v>
      </c>
      <c r="B36" s="1">
        <v>0.16700000000000001</v>
      </c>
      <c r="C36" s="6">
        <f t="shared" si="1"/>
        <v>-1.7897614665653818</v>
      </c>
      <c r="D36" s="8">
        <f t="shared" si="2"/>
        <v>1.4357432439103373</v>
      </c>
      <c r="E36" s="16">
        <f t="shared" si="0"/>
        <v>7.6563261372736557E-2</v>
      </c>
      <c r="F36" s="8">
        <f t="shared" si="3"/>
        <v>31.544063685567462</v>
      </c>
      <c r="G36" s="9">
        <f t="shared" si="4"/>
        <v>3.1544063685567461E-2</v>
      </c>
    </row>
    <row r="37" spans="1:7" x14ac:dyDescent="0.35">
      <c r="A37" s="1" t="s">
        <v>9</v>
      </c>
      <c r="B37" s="1">
        <v>2.2799999999999998</v>
      </c>
      <c r="C37" s="6">
        <f t="shared" si="1"/>
        <v>0.82417544296634937</v>
      </c>
      <c r="D37" s="8">
        <f t="shared" si="2"/>
        <v>1.1863736627410102</v>
      </c>
      <c r="E37" s="16">
        <f t="shared" si="0"/>
        <v>2.6585478136878522</v>
      </c>
      <c r="F37" s="8">
        <f t="shared" si="3"/>
        <v>1095.321699239395</v>
      </c>
      <c r="G37" s="9">
        <f t="shared" si="4"/>
        <v>1.095321699239395</v>
      </c>
    </row>
    <row r="39" spans="1:7" x14ac:dyDescent="0.35">
      <c r="B39" s="4" t="s">
        <v>17</v>
      </c>
      <c r="C39" s="3"/>
    </row>
    <row r="40" spans="1:7" x14ac:dyDescent="0.35">
      <c r="A40" s="1" t="s">
        <v>4</v>
      </c>
      <c r="B40" s="1">
        <v>2.52E-2</v>
      </c>
      <c r="C40" s="1"/>
      <c r="E40" s="15"/>
    </row>
    <row r="41" spans="1:7" x14ac:dyDescent="0.35">
      <c r="A41" s="1" t="s">
        <v>7</v>
      </c>
      <c r="B41" s="1">
        <v>2.7900000000000001E-2</v>
      </c>
      <c r="C41" s="1"/>
    </row>
    <row r="42" spans="1:7" x14ac:dyDescent="0.35">
      <c r="A42" s="1" t="s">
        <v>1</v>
      </c>
      <c r="B42" s="1">
        <v>0.67700000000000005</v>
      </c>
      <c r="C42" s="1"/>
    </row>
    <row r="43" spans="1:7" x14ac:dyDescent="0.35">
      <c r="A43" s="1" t="s">
        <v>3</v>
      </c>
      <c r="B43" s="1">
        <v>2.81E-2</v>
      </c>
      <c r="C43" s="1"/>
    </row>
    <row r="44" spans="1:7" x14ac:dyDescent="0.35">
      <c r="A44" s="1" t="s">
        <v>8</v>
      </c>
      <c r="B44" s="1">
        <v>2.4500000000000001E-2</v>
      </c>
      <c r="C44" s="1"/>
    </row>
    <row r="45" spans="1:7" x14ac:dyDescent="0.35">
      <c r="A45" s="1" t="s">
        <v>6</v>
      </c>
      <c r="B45" s="1">
        <v>2.7300000000000001E-2</v>
      </c>
      <c r="C45" s="1"/>
    </row>
    <row r="46" spans="1:7" x14ac:dyDescent="0.35">
      <c r="A46" s="1" t="s">
        <v>5</v>
      </c>
      <c r="B46" s="1">
        <v>2.5600000000000001E-2</v>
      </c>
      <c r="C46" s="1"/>
    </row>
    <row r="47" spans="1:7" x14ac:dyDescent="0.35">
      <c r="A47" s="1" t="s">
        <v>9</v>
      </c>
      <c r="B47" s="1">
        <v>2.2499999999999999E-2</v>
      </c>
      <c r="C47" s="1"/>
    </row>
    <row r="49" spans="1:5" x14ac:dyDescent="0.35">
      <c r="A49" s="17" t="s">
        <v>10</v>
      </c>
      <c r="B49" s="1"/>
      <c r="C49" s="1"/>
      <c r="D49" s="17"/>
      <c r="E49" s="1"/>
    </row>
    <row r="50" spans="1:5" x14ac:dyDescent="0.35">
      <c r="A50" s="3" t="s">
        <v>11</v>
      </c>
      <c r="B50" s="3" t="s">
        <v>15</v>
      </c>
      <c r="C50" s="4" t="s">
        <v>16</v>
      </c>
      <c r="D50" s="3"/>
      <c r="E50" s="1"/>
    </row>
    <row r="51" spans="1:5" x14ac:dyDescent="0.35">
      <c r="A51" s="1" t="s">
        <v>73</v>
      </c>
      <c r="B51" s="1">
        <v>1.19</v>
      </c>
      <c r="C51" s="1">
        <v>6.5</v>
      </c>
      <c r="D51" s="1"/>
    </row>
    <row r="52" spans="1:5" x14ac:dyDescent="0.35">
      <c r="A52" s="1" t="s">
        <v>12</v>
      </c>
      <c r="B52" s="6">
        <v>2.7</v>
      </c>
      <c r="C52" s="5">
        <v>13</v>
      </c>
      <c r="D52" s="1"/>
    </row>
    <row r="53" spans="1:5" x14ac:dyDescent="0.35">
      <c r="A53" s="1" t="s">
        <v>13</v>
      </c>
      <c r="B53" s="6">
        <v>2.5</v>
      </c>
      <c r="C53" s="1">
        <v>11.75</v>
      </c>
      <c r="D53" s="1"/>
    </row>
    <row r="54" spans="1:5" x14ac:dyDescent="0.35">
      <c r="A54" s="1" t="s">
        <v>59</v>
      </c>
      <c r="B54" s="1">
        <v>1.1499999999999999</v>
      </c>
      <c r="C54" s="1">
        <v>5.6</v>
      </c>
      <c r="D54" s="1"/>
    </row>
    <row r="55" spans="1:5" x14ac:dyDescent="0.35">
      <c r="A55" s="1" t="s">
        <v>18</v>
      </c>
      <c r="B55" s="6">
        <v>1</v>
      </c>
      <c r="C55" s="1">
        <v>7.42</v>
      </c>
      <c r="D55" s="1"/>
    </row>
    <row r="57" spans="1:5" x14ac:dyDescent="0.35">
      <c r="A57" s="3" t="s">
        <v>41</v>
      </c>
      <c r="B57" s="3" t="s">
        <v>47</v>
      </c>
    </row>
    <row r="58" spans="1:5" x14ac:dyDescent="0.35">
      <c r="A58" s="1" t="s">
        <v>42</v>
      </c>
      <c r="B58" s="10">
        <v>1000000000</v>
      </c>
    </row>
    <row r="59" spans="1:5" x14ac:dyDescent="0.35">
      <c r="A59" s="1" t="s">
        <v>30</v>
      </c>
      <c r="B59" s="10">
        <v>1000000</v>
      </c>
    </row>
    <row r="60" spans="1:5" x14ac:dyDescent="0.35">
      <c r="A60" s="1" t="s">
        <v>43</v>
      </c>
      <c r="B60" s="10">
        <v>1000</v>
      </c>
    </row>
    <row r="61" spans="1:5" x14ac:dyDescent="0.35">
      <c r="A61" s="1" t="s">
        <v>44</v>
      </c>
      <c r="B61" s="10">
        <v>37000000000</v>
      </c>
    </row>
    <row r="62" spans="1:5" x14ac:dyDescent="0.35">
      <c r="A62" s="1" t="s">
        <v>45</v>
      </c>
      <c r="B62" s="10">
        <v>37000000</v>
      </c>
    </row>
    <row r="63" spans="1:5" x14ac:dyDescent="0.35">
      <c r="A63" s="1" t="s">
        <v>46</v>
      </c>
      <c r="B63" s="10">
        <v>37000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DF48-863D-4160-AA20-C882265E98CF}">
  <dimension ref="A1"/>
  <sheetViews>
    <sheetView showGridLines="0" workbookViewId="0">
      <selection activeCell="R19" sqref="R19"/>
    </sheetView>
  </sheetViews>
  <sheetFormatPr defaultRowHeight="14.5" x14ac:dyDescent="0.35"/>
  <sheetData/>
  <sheetProtection algorithmName="SHA-512" hashValue="UvVvTHZ6FyziFGzidjtLbM7ivnwV/DclprK/c0/L8iNPWkxGtsKX7fE46029LbXHmF+zGwTP6Tw2979VfXDDqg==" saltValue="H9AR/OV6vTCJcbSrs2GvGA==" spinCount="100000" sheet="1" objects="1" scenarios="1" selectLockedCells="1" selectUnlockedCell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D35BE-EF99-4E6D-9A31-52C00FAE5E81}">
  <dimension ref="B24:D24"/>
  <sheetViews>
    <sheetView showGridLines="0" workbookViewId="0">
      <selection activeCell="B24" sqref="B24:D24"/>
    </sheetView>
  </sheetViews>
  <sheetFormatPr defaultRowHeight="14.5" x14ac:dyDescent="0.35"/>
  <sheetData>
    <row r="24" spans="2:4" x14ac:dyDescent="0.35">
      <c r="B24" s="100" t="s">
        <v>92</v>
      </c>
      <c r="C24" s="101"/>
      <c r="D24" s="101"/>
    </row>
  </sheetData>
  <sheetProtection algorithmName="SHA-512" hashValue="/PZmSW22R0A8259XMOn1LF8Ou8mKbrcimSCQJJsYTTeD5qeOjL2YsUi2HJaC8HY5PFMl5r88JJneA0nobGZcdQ==" saltValue="V2SYRGAy/VZFh/dxiUmwpA==" spinCount="100000" sheet="1" objects="1" scenarios="1" selectLockedCells="1"/>
  <mergeCells count="1">
    <mergeCell ref="B24:D24"/>
  </mergeCells>
  <hyperlinks>
    <hyperlink ref="B24" r:id="rId1" xr:uid="{CA74F00D-937B-4CF2-9512-C8CE5B17A3BE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CA733-ABDD-49A7-9382-E75EA56AA762}">
  <dimension ref="A33:D34"/>
  <sheetViews>
    <sheetView showGridLines="0" workbookViewId="0">
      <selection activeCell="B33" sqref="B33:D33"/>
    </sheetView>
  </sheetViews>
  <sheetFormatPr defaultRowHeight="14.5" x14ac:dyDescent="0.35"/>
  <sheetData>
    <row r="33" spans="1:4" x14ac:dyDescent="0.35">
      <c r="B33" s="100" t="s">
        <v>92</v>
      </c>
      <c r="C33" s="101"/>
      <c r="D33" s="101"/>
    </row>
    <row r="34" spans="1:4" x14ac:dyDescent="0.35">
      <c r="A34" s="89"/>
    </row>
  </sheetData>
  <sheetProtection algorithmName="SHA-512" hashValue="6VIeOPlM5RdPn3VNVYC2uRkgjTnvWQSpItkGQYw7K2qaiZKLdiIP1ubKGW7MNvOZYwHYBkvYRYDK2dH1P+pJzA==" saltValue="i0MXSX7oKrHkH8jSqWwDIw==" spinCount="100000" sheet="1" objects="1" scenarios="1" selectLockedCells="1"/>
  <mergeCells count="1">
    <mergeCell ref="B33:D33"/>
  </mergeCells>
  <hyperlinks>
    <hyperlink ref="B33" r:id="rId1" xr:uid="{CF4D87A2-D270-476A-B8E1-E93C7BD4A6BD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 2</vt:lpstr>
      <vt:lpstr>Sheet3</vt:lpstr>
      <vt:lpstr>Equations </vt:lpstr>
      <vt:lpstr>Disclaimer</vt:lpstr>
      <vt:lpstr>About the author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sidney.yu</dc:creator>
  <cp:lastModifiedBy>sidney.yu</cp:lastModifiedBy>
  <dcterms:created xsi:type="dcterms:W3CDTF">2025-12-18T02:01:14Z</dcterms:created>
  <dcterms:modified xsi:type="dcterms:W3CDTF">2026-02-09T00:18:59Z</dcterms:modified>
</cp:coreProperties>
</file>